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фінансування'!$A$1:$I$153</definedName>
  </definedNames>
  <calcPr fullCalcOnLoad="1"/>
</workbook>
</file>

<file path=xl/sharedStrings.xml><?xml version="1.0" encoding="utf-8"?>
<sst xmlns="http://schemas.openxmlformats.org/spreadsheetml/2006/main" count="158" uniqueCount="113">
  <si>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</si>
  <si>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</si>
  <si>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</si>
  <si>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</si>
  <si>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</si>
  <si>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</si>
  <si>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</si>
  <si>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</si>
  <si>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</si>
  <si>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</si>
  <si>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</si>
  <si>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</si>
  <si>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</si>
  <si>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</si>
  <si>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</si>
  <si>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</si>
  <si>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</si>
  <si>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</si>
  <si>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</si>
  <si>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</si>
  <si>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</si>
  <si>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</si>
  <si>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</si>
  <si>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</si>
  <si>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</si>
  <si>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</si>
  <si>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</si>
  <si>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</si>
  <si>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</si>
  <si>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</si>
  <si>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</si>
  <si>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</si>
  <si>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</si>
  <si>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</si>
  <si>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</si>
  <si>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</si>
  <si>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</si>
  <si>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</si>
  <si>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</si>
  <si>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</si>
  <si>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</si>
  <si>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</si>
  <si>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</si>
  <si>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</si>
  <si>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</si>
  <si>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</si>
  <si>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</si>
  <si>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</si>
  <si>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</si>
  <si>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</si>
  <si>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</si>
  <si>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</si>
  <si>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</si>
  <si>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</si>
  <si>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</si>
  <si>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</si>
  <si>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</si>
  <si>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</si>
  <si>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</si>
  <si>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</si>
  <si>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</si>
  <si>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</si>
  <si>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</si>
  <si>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</si>
  <si>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</si>
  <si>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</si>
  <si>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</si>
  <si>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</si>
  <si>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</si>
  <si>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</si>
  <si>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</si>
  <si>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</si>
  <si>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</si>
  <si>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</si>
  <si>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</si>
  <si>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</si>
  <si>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</si>
  <si>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</si>
  <si>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</si>
  <si>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</si>
  <si>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</si>
  <si>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</si>
  <si>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</si>
  <si>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</si>
  <si>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</si>
  <si>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</si>
  <si>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</si>
  <si>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</si>
  <si>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</si>
  <si>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</si>
  <si>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</si>
  <si>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</si>
  <si>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</si>
  <si>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</si>
  <si>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</si>
  <si>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</si>
  <si>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</si>
  <si>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</si>
  <si>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</si>
  <si>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</si>
  <si>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</si>
  <si>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</si>
  <si>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</si>
  <si>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</si>
  <si>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</si>
  <si>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</si>
  <si>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</si>
  <si>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</si>
  <si>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</si>
  <si>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</si>
  <si>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в т.ч. грошова допомога для оплати вартості оренди житла, що винаймається тимчасово розселеним переселенцям</t>
  </si>
  <si>
    <t>Аналіз використання коштів міського бюджету за 2014 рік станом на 29.08.2014 року</t>
  </si>
  <si>
    <t>в т.ч. медикаменти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</si>
</sst>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27709.000000000004</c:v>
                </c:pt>
                <c:pt idx="1">
                  <c:v>23626</c:v>
                </c:pt>
                <c:pt idx="2">
                  <c:v>1098.4</c:v>
                </c:pt>
                <c:pt idx="3">
                  <c:v>2984.6000000000035</c:v>
                </c:pt>
              </c:numCache>
            </c:numRef>
          </c:val>
          <c:shape val="box"/>
        </c:ser>
        <c:shape val="box"/>
        <c:axId val="34794064"/>
        <c:axId val="44711121"/>
      </c:bar3D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182002.41000000003</c:v>
                </c:pt>
                <c:pt idx="1">
                  <c:v>147518.39999999994</c:v>
                </c:pt>
                <c:pt idx="2">
                  <c:v>11.700000000000001</c:v>
                </c:pt>
                <c:pt idx="3">
                  <c:v>10235.800000000003</c:v>
                </c:pt>
                <c:pt idx="4">
                  <c:v>21244.600000000002</c:v>
                </c:pt>
                <c:pt idx="5">
                  <c:v>181.4</c:v>
                </c:pt>
                <c:pt idx="6">
                  <c:v>2810.5100000000944</c:v>
                </c:pt>
              </c:numCache>
            </c:numRef>
          </c:val>
          <c:shape val="box"/>
        </c:ser>
        <c:shape val="box"/>
        <c:axId val="66855770"/>
        <c:axId val="64831019"/>
      </c:bar3D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123986.60000000002</c:v>
                </c:pt>
                <c:pt idx="1">
                  <c:v>99897</c:v>
                </c:pt>
                <c:pt idx="2">
                  <c:v>2823.2</c:v>
                </c:pt>
                <c:pt idx="3">
                  <c:v>1758.3999999999999</c:v>
                </c:pt>
                <c:pt idx="4">
                  <c:v>10475.299999999997</c:v>
                </c:pt>
                <c:pt idx="5">
                  <c:v>827.6</c:v>
                </c:pt>
                <c:pt idx="6">
                  <c:v>8205.10000000002</c:v>
                </c:pt>
              </c:numCache>
            </c:numRef>
          </c:val>
          <c:shape val="box"/>
        </c:ser>
        <c:shape val="box"/>
        <c:axId val="46608260"/>
        <c:axId val="16821157"/>
      </c:bar3D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23402.099999999995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4458.4999999999945</c:v>
                </c:pt>
              </c:numCache>
            </c:numRef>
          </c:val>
          <c:shape val="box"/>
        </c:ser>
        <c:shape val="box"/>
        <c:axId val="17172686"/>
        <c:axId val="20336447"/>
      </c:bar3D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7238.499999999999</c:v>
                </c:pt>
                <c:pt idx="1">
                  <c:v>4804.9</c:v>
                </c:pt>
                <c:pt idx="3">
                  <c:v>108.80000000000001</c:v>
                </c:pt>
                <c:pt idx="4">
                  <c:v>227.69999999999993</c:v>
                </c:pt>
                <c:pt idx="5">
                  <c:v>2097.0999999999995</c:v>
                </c:pt>
              </c:numCache>
            </c:numRef>
          </c:val>
          <c:shape val="box"/>
        </c:ser>
        <c:shape val="box"/>
        <c:axId val="48810296"/>
        <c:axId val="36639481"/>
      </c:bar3D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9481"/>
        <c:crosses val="autoZero"/>
        <c:auto val="1"/>
        <c:lblOffset val="100"/>
        <c:tickLblSkip val="2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2401.7000000000003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</c:v>
                </c:pt>
                <c:pt idx="5">
                  <c:v>87.60000000000011</c:v>
                </c:pt>
              </c:numCache>
            </c:numRef>
          </c:val>
          <c:shape val="box"/>
        </c:ser>
        <c:shape val="box"/>
        <c:axId val="61319874"/>
        <c:axId val="15007955"/>
      </c:bar3D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21243.900000000005</c:v>
                </c:pt>
              </c:numCache>
            </c:numRef>
          </c:val>
          <c:shape val="box"/>
        </c:ser>
        <c:shape val="box"/>
        <c:axId val="853868"/>
        <c:axId val="7684813"/>
      </c:bar3D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182002.41000000003</c:v>
                </c:pt>
                <c:pt idx="1">
                  <c:v>123986.60000000002</c:v>
                </c:pt>
                <c:pt idx="2">
                  <c:v>23402.099999999995</c:v>
                </c:pt>
                <c:pt idx="3">
                  <c:v>7238.499999999999</c:v>
                </c:pt>
                <c:pt idx="4">
                  <c:v>2401.7000000000003</c:v>
                </c:pt>
                <c:pt idx="5">
                  <c:v>27709.000000000004</c:v>
                </c:pt>
                <c:pt idx="6">
                  <c:v>21243.900000000005</c:v>
                </c:pt>
              </c:numCache>
            </c:numRef>
          </c:val>
          <c:shape val="box"/>
        </c:ser>
        <c:shape val="box"/>
        <c:axId val="2054454"/>
        <c:axId val="18490087"/>
      </c:bar3D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фінансування'!$A$137:$A$142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фінансування'!$C$137:$C$142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7636.400000000001</c:v>
                </c:pt>
                <c:pt idx="4">
                  <c:v>7873.900000000001</c:v>
                </c:pt>
                <c:pt idx="5">
                  <c:v>92963.40000000004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фінансування'!$A$137:$A$142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фінансування'!$D$137:$D$142</c:f>
              <c:numCache>
                <c:ptCount val="6"/>
                <c:pt idx="0">
                  <c:v>299006.0999999999</c:v>
                </c:pt>
                <c:pt idx="1">
                  <c:v>34395.20000000001</c:v>
                </c:pt>
                <c:pt idx="2">
                  <c:v>12320.100000000002</c:v>
                </c:pt>
                <c:pt idx="3">
                  <c:v>4874.6</c:v>
                </c:pt>
                <c:pt idx="4">
                  <c:v>2835.7</c:v>
                </c:pt>
                <c:pt idx="5">
                  <c:v>51615.61000000018</c:v>
                </c:pt>
              </c:numCache>
            </c:numRef>
          </c:val>
          <c:shape val="box"/>
        </c:ser>
        <c:shape val="box"/>
        <c:axId val="32193056"/>
        <c:axId val="21302049"/>
      </c:bar3D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111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107</v>
      </c>
      <c r="C3" s="119" t="s">
        <v>102</v>
      </c>
      <c r="D3" s="119" t="s">
        <v>29</v>
      </c>
      <c r="E3" s="119" t="s">
        <v>28</v>
      </c>
      <c r="F3" s="119" t="s">
        <v>108</v>
      </c>
      <c r="G3" s="119" t="s">
        <v>103</v>
      </c>
      <c r="H3" s="119" t="s">
        <v>109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189877.2+331.7</f>
        <v>190208.90000000002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</f>
        <v>185894.51000000004</v>
      </c>
      <c r="E6" s="3">
        <f>D6/D136*100</f>
        <v>44.68345094594102</v>
      </c>
      <c r="F6" s="3">
        <f>D6/B6*100</f>
        <v>97.73176228872572</v>
      </c>
      <c r="G6" s="3">
        <f aca="true" t="shared" si="0" ref="G6:G41">D6/C6*100</f>
        <v>67.7561341341356</v>
      </c>
      <c r="H6" s="3">
        <f>B6-D6</f>
        <v>4314.389999999985</v>
      </c>
      <c r="I6" s="3">
        <f aca="true" t="shared" si="1" ref="I6:I41">C6-D6</f>
        <v>88463.68999999997</v>
      </c>
    </row>
    <row r="7" spans="1:9" ht="18">
      <c r="A7" s="29" t="s">
        <v>3</v>
      </c>
      <c r="B7" s="49">
        <f>155820.4+331.7</f>
        <v>156152.1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</f>
        <v>153336.49999999994</v>
      </c>
      <c r="E7" s="1">
        <f>D7/D6*100</f>
        <v>82.48576033794646</v>
      </c>
      <c r="F7" s="1">
        <f>D7/B7*100</f>
        <v>98.19688624104315</v>
      </c>
      <c r="G7" s="1">
        <f t="shared" si="0"/>
        <v>71.25126565191468</v>
      </c>
      <c r="H7" s="1">
        <f>B7-D7</f>
        <v>2815.600000000064</v>
      </c>
      <c r="I7" s="1">
        <f t="shared" si="1"/>
        <v>61868.800000000076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0.006293892164970336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f>10495.8-19.2</f>
        <v>10476.599999999999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</f>
        <v>10235.900000000003</v>
      </c>
      <c r="E9" s="1">
        <f>D9/D6*100</f>
        <v>5.506294941146998</v>
      </c>
      <c r="F9" s="1">
        <f aca="true" t="shared" si="3" ref="F9:F39">D9/B9*100</f>
        <v>97.70249890231568</v>
      </c>
      <c r="G9" s="1">
        <f t="shared" si="0"/>
        <v>59.846115168063065</v>
      </c>
      <c r="H9" s="1">
        <f t="shared" si="2"/>
        <v>240.69999999999527</v>
      </c>
      <c r="I9" s="1">
        <f t="shared" si="1"/>
        <v>6867.799999999997</v>
      </c>
    </row>
    <row r="10" spans="1:9" ht="18">
      <c r="A10" s="29" t="s">
        <v>0</v>
      </c>
      <c r="B10" s="49">
        <f>21636.2+14.7</f>
        <v>21650.9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</f>
        <v>21244.600000000002</v>
      </c>
      <c r="E10" s="1">
        <f>D10/D6*100</f>
        <v>11.428309528882805</v>
      </c>
      <c r="F10" s="1">
        <f t="shared" si="3"/>
        <v>98.12340364603781</v>
      </c>
      <c r="G10" s="1">
        <f t="shared" si="0"/>
        <v>53.85810802246138</v>
      </c>
      <c r="H10" s="1">
        <f t="shared" si="2"/>
        <v>406.2999999999993</v>
      </c>
      <c r="I10" s="1">
        <f t="shared" si="1"/>
        <v>18200.899999999998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0.09758222553210419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1664.500000000016</v>
      </c>
      <c r="C12" s="50">
        <f>C6-C7-C8-C9-C10-C11</f>
        <v>2277.299999999991</v>
      </c>
      <c r="D12" s="50">
        <f>D6-D7-D8-D9-D10-D11</f>
        <v>884.4100000000886</v>
      </c>
      <c r="E12" s="1">
        <f>D12/D6*100</f>
        <v>0.47575907432666437</v>
      </c>
      <c r="F12" s="1">
        <f t="shared" si="3"/>
        <v>53.1336737759135</v>
      </c>
      <c r="G12" s="1">
        <f t="shared" si="0"/>
        <v>38.83590216484838</v>
      </c>
      <c r="H12" s="1">
        <f t="shared" si="2"/>
        <v>780.0899999999273</v>
      </c>
      <c r="I12" s="1">
        <f t="shared" si="1"/>
        <v>1392.8899999999026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</f>
        <v>128028.20000000001</v>
      </c>
      <c r="E17" s="3">
        <f>D17/D136*100</f>
        <v>30.77412987826873</v>
      </c>
      <c r="F17" s="3">
        <f>D17/B17*100</f>
        <v>93.25988792339223</v>
      </c>
      <c r="G17" s="3">
        <f t="shared" si="0"/>
        <v>72.0199451306396</v>
      </c>
      <c r="H17" s="3">
        <f>B17-D17</f>
        <v>9252.899999999994</v>
      </c>
      <c r="I17" s="3">
        <f t="shared" si="1"/>
        <v>49739.5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</f>
        <v>103833.9</v>
      </c>
      <c r="E18" s="1">
        <f>D18/D17*100</f>
        <v>81.10236650987828</v>
      </c>
      <c r="F18" s="1">
        <f t="shared" si="3"/>
        <v>96.46655617202974</v>
      </c>
      <c r="G18" s="1">
        <f t="shared" si="0"/>
        <v>77.8344646129974</v>
      </c>
      <c r="H18" s="1">
        <f t="shared" si="2"/>
        <v>3803.300000000003</v>
      </c>
      <c r="I18" s="1">
        <f t="shared" si="1"/>
        <v>29569.600000000006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</f>
        <v>2823.2</v>
      </c>
      <c r="E19" s="1">
        <f>D19/D17*100</f>
        <v>2.2051391802743456</v>
      </c>
      <c r="F19" s="1">
        <f t="shared" si="3"/>
        <v>54.16314941293838</v>
      </c>
      <c r="G19" s="1">
        <f t="shared" si="0"/>
        <v>36.10876627529225</v>
      </c>
      <c r="H19" s="1">
        <f t="shared" si="2"/>
        <v>2389.2</v>
      </c>
      <c r="I19" s="1">
        <f t="shared" si="1"/>
        <v>4995.400000000001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50.7+162.6+43.4+2.3+47.2+1.8+59.1-0.1+62.8+64.5+13.9+16.6+5.7+70.4+205+17+53.6+0.4+52.9+123.3+33.6+13.4+33.2+48.5+167.7+45.5+44.4+10.1+293.6+15.3</f>
        <v>1758.3999999999999</v>
      </c>
      <c r="E20" s="1">
        <f>D20/D17*100</f>
        <v>1.3734474123669627</v>
      </c>
      <c r="F20" s="1">
        <f t="shared" si="3"/>
        <v>83.66560403482895</v>
      </c>
      <c r="G20" s="1">
        <f t="shared" si="0"/>
        <v>61.989705986039624</v>
      </c>
      <c r="H20" s="1">
        <f t="shared" si="2"/>
        <v>343.29999999999995</v>
      </c>
      <c r="I20" s="1">
        <f t="shared" si="1"/>
        <v>1078.2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</f>
        <v>10475.299999999997</v>
      </c>
      <c r="E21" s="1">
        <f>D21/D17*100</f>
        <v>8.182025522502071</v>
      </c>
      <c r="F21" s="1">
        <f t="shared" si="3"/>
        <v>93.09639978315157</v>
      </c>
      <c r="G21" s="1">
        <f t="shared" si="0"/>
        <v>54.125847387566125</v>
      </c>
      <c r="H21" s="1">
        <f t="shared" si="2"/>
        <v>776.8000000000029</v>
      </c>
      <c r="I21" s="1">
        <f t="shared" si="1"/>
        <v>8878.300000000001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0.6464200855748967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8309.800000000017</v>
      </c>
      <c r="E23" s="1">
        <f>D23/D17*100</f>
        <v>6.4906012894034415</v>
      </c>
      <c r="F23" s="1">
        <f t="shared" si="3"/>
        <v>82.23860656143316</v>
      </c>
      <c r="G23" s="1">
        <f t="shared" si="0"/>
        <v>64.08470798725993</v>
      </c>
      <c r="H23" s="1">
        <f t="shared" si="2"/>
        <v>1794.699999999988</v>
      </c>
      <c r="I23" s="1">
        <f t="shared" si="1"/>
        <v>4657.0999999999985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</f>
        <v>24251.299999999996</v>
      </c>
      <c r="E31" s="3">
        <f>D31/D136*100</f>
        <v>5.829283360360125</v>
      </c>
      <c r="F31" s="3">
        <f>D31/B31*100</f>
        <v>91.70293622733546</v>
      </c>
      <c r="G31" s="3">
        <f t="shared" si="0"/>
        <v>64.62567087177354</v>
      </c>
      <c r="H31" s="3">
        <f t="shared" si="2"/>
        <v>2194.2000000000044</v>
      </c>
      <c r="I31" s="3">
        <f t="shared" si="1"/>
        <v>13274.500000000007</v>
      </c>
    </row>
    <row r="32" spans="1:9" ht="18">
      <c r="A32" s="29" t="s">
        <v>3</v>
      </c>
      <c r="B32" s="49">
        <f>19825.5+6.7</f>
        <v>19832.2</v>
      </c>
      <c r="C32" s="50">
        <f>28976.1-761.1</f>
        <v>28215</v>
      </c>
      <c r="D32" s="51">
        <f>1119.5+1121.1+1039.4+104.2+1079.5+1133.4+1048+1163.9+1081.6+1130.3+1238-0.1+13.4+4.1+3118.3+55.1+2433-70.8+488+299.2+413.9+849.2</f>
        <v>18862.2</v>
      </c>
      <c r="E32" s="1">
        <f>D32/D31*100</f>
        <v>77.77809849368901</v>
      </c>
      <c r="F32" s="1">
        <f t="shared" si="3"/>
        <v>95.10896420971955</v>
      </c>
      <c r="G32" s="1">
        <f t="shared" si="0"/>
        <v>66.85167464114834</v>
      </c>
      <c r="H32" s="1">
        <f t="shared" si="2"/>
        <v>970</v>
      </c>
      <c r="I32" s="1">
        <f t="shared" si="1"/>
        <v>9352.8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912.1-6.7</f>
        <v>905.4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2.9082976995047685</v>
      </c>
      <c r="F34" s="1">
        <f t="shared" si="3"/>
        <v>77.89927104042411</v>
      </c>
      <c r="G34" s="1">
        <f t="shared" si="0"/>
        <v>40.693514885760436</v>
      </c>
      <c r="H34" s="1">
        <f t="shared" si="2"/>
        <v>200.10000000000014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0.8547995365196919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0.07422282516813533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4458.4999999999945</v>
      </c>
      <c r="E37" s="1">
        <f>D37/D31*100</f>
        <v>18.384581445118386</v>
      </c>
      <c r="F37" s="1">
        <f t="shared" si="3"/>
        <v>86.93575119430622</v>
      </c>
      <c r="G37" s="1">
        <f t="shared" si="0"/>
        <v>65.21039622061974</v>
      </c>
      <c r="H37" s="1">
        <f>B37-D37</f>
        <v>670.0000000000055</v>
      </c>
      <c r="I37" s="1">
        <f t="shared" si="1"/>
        <v>2378.6000000000085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39.9+10-0.1+63.8+32.1+23.9+51.2+20.3+38.8+26.2+1.3+95+24+3.6</f>
        <v>430.00000000000006</v>
      </c>
      <c r="E41" s="3">
        <f>D41/D136*100</f>
        <v>0.10335907126442108</v>
      </c>
      <c r="F41" s="3">
        <f>D41/B41*100</f>
        <v>56.113793553438605</v>
      </c>
      <c r="G41" s="3">
        <f t="shared" si="0"/>
        <v>38.37230055327503</v>
      </c>
      <c r="H41" s="3">
        <f t="shared" si="2"/>
        <v>336.2999999999999</v>
      </c>
      <c r="I41" s="3">
        <f t="shared" si="1"/>
        <v>690.6000000000001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</f>
        <v>3866.8999999999996</v>
      </c>
      <c r="E43" s="3">
        <f>D43/D136*100</f>
        <v>0.929486494586953</v>
      </c>
      <c r="F43" s="3">
        <f>D43/B43*100</f>
        <v>96.02433573379686</v>
      </c>
      <c r="G43" s="3">
        <f aca="true" t="shared" si="4" ref="G43:G73">D43/C43*100</f>
        <v>63.338847848520075</v>
      </c>
      <c r="H43" s="3">
        <f>B43-D43</f>
        <v>160.10000000000036</v>
      </c>
      <c r="I43" s="3">
        <f aca="true" t="shared" si="5" ref="I43:I74">C43-D43</f>
        <v>2238.2000000000007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179.7+201.3+187+211.8+190.5+230.5+236.3+199.9+0.1+218.5+248.3+8.2+228.5-0.1+273.7+231.2+200.7+36.5+228.6+183.7</f>
        <v>3494.899999999999</v>
      </c>
      <c r="E44" s="1">
        <f>D44/D43*100</f>
        <v>90.37989086865447</v>
      </c>
      <c r="F44" s="1">
        <f aca="true" t="shared" si="6" ref="F44:F71">D44/B44*100</f>
        <v>98.52837529249244</v>
      </c>
      <c r="G44" s="1">
        <f t="shared" si="4"/>
        <v>65.21065790946746</v>
      </c>
      <c r="H44" s="1">
        <f aca="true" t="shared" si="7" ref="H44:H71">B44-D44</f>
        <v>52.20000000000073</v>
      </c>
      <c r="I44" s="1">
        <f t="shared" si="5"/>
        <v>1864.5000000000014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0.020688406734076393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0.5301404225607075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5.192790090253175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3.876490211797576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</f>
        <v>7439.699999999999</v>
      </c>
      <c r="E49" s="3">
        <f>D49/D136*100</f>
        <v>1.7882801918277051</v>
      </c>
      <c r="F49" s="3">
        <f>D49/B49*100</f>
        <v>93.36621362147508</v>
      </c>
      <c r="G49" s="3">
        <f t="shared" si="4"/>
        <v>61.28152748719131</v>
      </c>
      <c r="H49" s="3">
        <f>B49-D49</f>
        <v>528.6000000000013</v>
      </c>
      <c r="I49" s="3">
        <f t="shared" si="5"/>
        <v>4700.5</v>
      </c>
    </row>
    <row r="50" spans="1:9" ht="18">
      <c r="A50" s="29" t="s">
        <v>3</v>
      </c>
      <c r="B50" s="49">
        <f>4954.1+63.6</f>
        <v>5017.700000000001</v>
      </c>
      <c r="C50" s="50">
        <f>7727-234.9</f>
        <v>7492.1</v>
      </c>
      <c r="D50" s="51">
        <f>282.8+343.5+279.8+360.5+269.9+364.8-0.1+7.2+231.6+28.9+358.6+269.6+381.2-0.1+7.2+297.2+563.3+0.1+313.9+22.4+240.9+0.1+181.6+201.2</f>
        <v>5006.099999999999</v>
      </c>
      <c r="E50" s="1">
        <f>D50/D49*100</f>
        <v>67.28900358885438</v>
      </c>
      <c r="F50" s="1">
        <f t="shared" si="6"/>
        <v>99.76881838292442</v>
      </c>
      <c r="G50" s="1">
        <f t="shared" si="4"/>
        <v>66.8183820290706</v>
      </c>
      <c r="H50" s="1">
        <f t="shared" si="7"/>
        <v>11.600000000001273</v>
      </c>
      <c r="I50" s="1">
        <f t="shared" si="5"/>
        <v>2486.000000000001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2.4+4.2+4.2+8.7+3.1+5.2-0.1+2.3+6.7+7.1+0.1+3.9+3.5+21.5+2.5-0.1+4.3+17.5+11.1+0.7</f>
        <v>108.80000000000001</v>
      </c>
      <c r="E52" s="1">
        <f>D52/D49*100</f>
        <v>1.4624245601301131</v>
      </c>
      <c r="F52" s="1">
        <f t="shared" si="6"/>
        <v>59.51859956236324</v>
      </c>
      <c r="G52" s="1">
        <f t="shared" si="4"/>
        <v>33.47692307692308</v>
      </c>
      <c r="H52" s="1">
        <f t="shared" si="7"/>
        <v>74</v>
      </c>
      <c r="I52" s="1">
        <f t="shared" si="5"/>
        <v>216.2</v>
      </c>
    </row>
    <row r="53" spans="1:9" ht="18">
      <c r="A53" s="29" t="s">
        <v>0</v>
      </c>
      <c r="B53" s="49">
        <v>250.2</v>
      </c>
      <c r="C53" s="50">
        <v>534.1</v>
      </c>
      <c r="D53" s="51">
        <f>6+11+5+10.4+0.1+20.8+16+0.1+76.5+39.2+7.7+0.3+8.1+0.1+0.2+12-0.1+0.1+4.7+0.1+6.4+2.7+8.2+0.3</f>
        <v>235.89999999999992</v>
      </c>
      <c r="E53" s="1">
        <f>D53/D49*100</f>
        <v>3.1708267806497568</v>
      </c>
      <c r="F53" s="1">
        <f t="shared" si="6"/>
        <v>94.28457234212627</v>
      </c>
      <c r="G53" s="1">
        <f t="shared" si="4"/>
        <v>44.16775884665791</v>
      </c>
      <c r="H53" s="1">
        <f t="shared" si="7"/>
        <v>14.300000000000068</v>
      </c>
      <c r="I53" s="1">
        <f t="shared" si="5"/>
        <v>298.2000000000001</v>
      </c>
    </row>
    <row r="54" spans="1:9" ht="18.75" thickBot="1">
      <c r="A54" s="29" t="s">
        <v>35</v>
      </c>
      <c r="B54" s="50">
        <f>B49-B50-B53-B52-B51</f>
        <v>2517.5999999999995</v>
      </c>
      <c r="C54" s="50">
        <f>C49-C50-C53-C52-C51</f>
        <v>3779.2999999999984</v>
      </c>
      <c r="D54" s="50">
        <f>D49-D50-D53-D52-D51</f>
        <v>2088.899999999999</v>
      </c>
      <c r="E54" s="1">
        <f>D54/D49*100</f>
        <v>28.077745070365733</v>
      </c>
      <c r="F54" s="1">
        <f t="shared" si="6"/>
        <v>82.97187797902762</v>
      </c>
      <c r="G54" s="1">
        <f t="shared" si="4"/>
        <v>55.27214034344985</v>
      </c>
      <c r="H54" s="1">
        <f t="shared" si="7"/>
        <v>428.7000000000003</v>
      </c>
      <c r="I54" s="1">
        <f>C54-D54</f>
        <v>1690.3999999999992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f>2479.4-7.9</f>
        <v>2471.5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</f>
        <v>2444.2000000000003</v>
      </c>
      <c r="E56" s="3">
        <f>D56/D136*100</f>
        <v>0.5875121906616232</v>
      </c>
      <c r="F56" s="3">
        <f>D56/B56*100</f>
        <v>98.89540764717783</v>
      </c>
      <c r="G56" s="3">
        <f t="shared" si="4"/>
        <v>80.96594673380152</v>
      </c>
      <c r="H56" s="3">
        <f>B56-D56</f>
        <v>27.299999999999727</v>
      </c>
      <c r="I56" s="3">
        <f t="shared" si="5"/>
        <v>574.5999999999999</v>
      </c>
    </row>
    <row r="57" spans="1:9" ht="18">
      <c r="A57" s="29" t="s">
        <v>3</v>
      </c>
      <c r="B57" s="49">
        <f>1329.3+2.5</f>
        <v>1331.8</v>
      </c>
      <c r="C57" s="50">
        <f>2589.6-887.6</f>
        <v>1702</v>
      </c>
      <c r="D57" s="51">
        <f>128-60.9+102.5+75.2+87.9+68.6+30+93+68.5+96.9-0.1+67+116.4+112.6+49.7+83+52.4+24.4+26.2+0.2+55.4+42.6</f>
        <v>1319.5000000000002</v>
      </c>
      <c r="E57" s="1">
        <f>D57/D56*100</f>
        <v>53.984943948940355</v>
      </c>
      <c r="F57" s="1">
        <f t="shared" si="6"/>
        <v>99.07643790358914</v>
      </c>
      <c r="G57" s="1">
        <f t="shared" si="4"/>
        <v>77.52643948296124</v>
      </c>
      <c r="H57" s="1">
        <f t="shared" si="7"/>
        <v>12.299999999999727</v>
      </c>
      <c r="I57" s="1">
        <f t="shared" si="5"/>
        <v>382.4999999999998</v>
      </c>
    </row>
    <row r="58" spans="1:9" ht="18">
      <c r="A58" s="29" t="s">
        <v>1</v>
      </c>
      <c r="B58" s="49">
        <f>188.9-7.5</f>
        <v>181.4</v>
      </c>
      <c r="C58" s="50">
        <v>188.9</v>
      </c>
      <c r="D58" s="51">
        <f>33+49+35+64.4</f>
        <v>181.4</v>
      </c>
      <c r="E58" s="1">
        <f>D58/D56*100</f>
        <v>7.421651256034694</v>
      </c>
      <c r="F58" s="1">
        <f t="shared" si="6"/>
        <v>100</v>
      </c>
      <c r="G58" s="1">
        <f t="shared" si="4"/>
        <v>96.02964531498147</v>
      </c>
      <c r="H58" s="1">
        <f t="shared" si="7"/>
        <v>0</v>
      </c>
      <c r="I58" s="1">
        <f t="shared" si="5"/>
        <v>7.5</v>
      </c>
    </row>
    <row r="59" spans="1:9" ht="18">
      <c r="A59" s="29" t="s">
        <v>0</v>
      </c>
      <c r="B59" s="49">
        <f>135.4-2.5</f>
        <v>132.9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5.212339415759757</v>
      </c>
      <c r="F59" s="1">
        <f t="shared" si="6"/>
        <v>95.86155003762227</v>
      </c>
      <c r="G59" s="1">
        <f t="shared" si="4"/>
        <v>44.25147620701633</v>
      </c>
      <c r="H59" s="1">
        <f t="shared" si="7"/>
        <v>5.5</v>
      </c>
      <c r="I59" s="1">
        <f t="shared" si="5"/>
        <v>160.49999999999997</v>
      </c>
    </row>
    <row r="60" spans="1:9" ht="18">
      <c r="A60" s="29" t="s">
        <v>15</v>
      </c>
      <c r="B60" s="49">
        <f>728.7-0.4</f>
        <v>728.3000000000001</v>
      </c>
      <c r="C60" s="50">
        <v>728.7</v>
      </c>
      <c r="D60" s="51">
        <f>238+257+58.9+143.6+30.7</f>
        <v>728.2</v>
      </c>
      <c r="E60" s="1">
        <f>D60/D56*100</f>
        <v>29.79297929792979</v>
      </c>
      <c r="F60" s="1">
        <f t="shared" si="6"/>
        <v>99.9862693944803</v>
      </c>
      <c r="G60" s="1">
        <f t="shared" si="4"/>
        <v>99.93138465760944</v>
      </c>
      <c r="H60" s="1">
        <f t="shared" si="7"/>
        <v>0.10000000000002274</v>
      </c>
      <c r="I60" s="1">
        <f t="shared" si="5"/>
        <v>0.5</v>
      </c>
    </row>
    <row r="61" spans="1:9" ht="18.75" thickBot="1">
      <c r="A61" s="29" t="s">
        <v>35</v>
      </c>
      <c r="B61" s="50">
        <f>B56-B57-B59-B60-B58</f>
        <v>97.1</v>
      </c>
      <c r="C61" s="50">
        <f>C56-C57-C59-C60-C58</f>
        <v>111.30000000000004</v>
      </c>
      <c r="D61" s="50">
        <f>D56-D57-D59-D60-D58</f>
        <v>87.70000000000002</v>
      </c>
      <c r="E61" s="1">
        <f>D61/D56*100</f>
        <v>3.5880860813354065</v>
      </c>
      <c r="F61" s="1">
        <f t="shared" si="6"/>
        <v>90.31925849639549</v>
      </c>
      <c r="G61" s="1">
        <f t="shared" si="4"/>
        <v>78.796046720575</v>
      </c>
      <c r="H61" s="1">
        <f t="shared" si="7"/>
        <v>9.399999999999977</v>
      </c>
      <c r="I61" s="1">
        <f t="shared" si="5"/>
        <v>23.600000000000023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D66/D136*100</f>
        <v>0.0003365179064423011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D69/D136*100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D76/D136*100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D81/D136*100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D84/D136*100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</f>
        <v>29197.700000000004</v>
      </c>
      <c r="E87" s="3">
        <f>D87/D136*100</f>
        <v>7.018249197807412</v>
      </c>
      <c r="F87" s="3">
        <f aca="true" t="shared" si="10" ref="F87:F92">D87/B87*100</f>
        <v>93.36661113260703</v>
      </c>
      <c r="G87" s="3">
        <f t="shared" si="8"/>
        <v>64.93717056246247</v>
      </c>
      <c r="H87" s="3">
        <f aca="true" t="shared" si="11" ref="H87:H92">B87-D87</f>
        <v>2074.399999999994</v>
      </c>
      <c r="I87" s="3">
        <f t="shared" si="9"/>
        <v>15765.299999999996</v>
      </c>
    </row>
    <row r="88" spans="1:9" ht="18">
      <c r="A88" s="29" t="s">
        <v>3</v>
      </c>
      <c r="B88" s="49">
        <f>25919.6+22.8</f>
        <v>25942.399999999998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</f>
        <v>25107.4</v>
      </c>
      <c r="E88" s="1">
        <f>D88/D87*100</f>
        <v>85.99101984060388</v>
      </c>
      <c r="F88" s="1">
        <f t="shared" si="10"/>
        <v>96.78133094856298</v>
      </c>
      <c r="G88" s="1">
        <f t="shared" si="8"/>
        <v>66.05072568615948</v>
      </c>
      <c r="H88" s="1">
        <f t="shared" si="11"/>
        <v>834.9999999999964</v>
      </c>
      <c r="I88" s="1">
        <f t="shared" si="9"/>
        <v>12904.900000000001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3.761940152820256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3976.8000000000006</v>
      </c>
      <c r="C91" s="50">
        <f>C87-C88-C89-C90</f>
        <v>5033.099999999997</v>
      </c>
      <c r="D91" s="50">
        <f>D87-D88-D89-D90</f>
        <v>2991.900000000003</v>
      </c>
      <c r="E91" s="1">
        <f>D91/D87*100</f>
        <v>10.247040006575867</v>
      </c>
      <c r="F91" s="1">
        <f t="shared" si="10"/>
        <v>75.23385636692824</v>
      </c>
      <c r="G91" s="1">
        <f>D91/C91*100</f>
        <v>59.44447755856241</v>
      </c>
      <c r="H91" s="1">
        <f t="shared" si="11"/>
        <v>984.8999999999978</v>
      </c>
      <c r="I91" s="1">
        <f>C91-D91</f>
        <v>2041.199999999994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</f>
        <v>21483.100000000006</v>
      </c>
      <c r="E92" s="3">
        <f>D92/D136*100</f>
        <v>5.1638913113504294</v>
      </c>
      <c r="F92" s="3">
        <f t="shared" si="10"/>
        <v>69.28914691178844</v>
      </c>
      <c r="G92" s="3">
        <f>D92/C92*100</f>
        <v>49.63816503925656</v>
      </c>
      <c r="H92" s="3">
        <f t="shared" si="11"/>
        <v>9521.899999999994</v>
      </c>
      <c r="I92" s="3">
        <f>C92-D92</f>
        <v>21796.299999999996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D94/D136*100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D96/D136*100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</f>
        <v>3558.3</v>
      </c>
      <c r="E98" s="25">
        <f>D98/D136*100</f>
        <v>0.8553083332097431</v>
      </c>
      <c r="F98" s="25">
        <f>D98/B98*100</f>
        <v>82.28805328153184</v>
      </c>
      <c r="G98" s="25">
        <f aca="true" t="shared" si="12" ref="G98:G134">D98/C98*100</f>
        <v>57.72899834517668</v>
      </c>
      <c r="H98" s="25">
        <f aca="true" t="shared" si="13" ref="H98:H103">B98-D98</f>
        <v>765.8999999999996</v>
      </c>
      <c r="I98" s="25">
        <f aca="true" t="shared" si="14" ref="I98:I134">C98-D98</f>
        <v>2605.5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0.4271702779417137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3951.2-B101</f>
        <v>3758.2999999999997</v>
      </c>
      <c r="C100" s="51">
        <f>4699.6+1.8+903.3-10.8-3+21.3+0.1-C101</f>
        <v>5212.200000000001</v>
      </c>
      <c r="D100" s="51">
        <f>111.4+112.6+0.9+99.8+111.4+47.6+73.3-0.9+24.7+28.7+415.6+4.4+7.7+94.7+205.4+127.9+182.3+101.7+1.5+137.1+2.5+115.1+119.6+27+29+84.6-0.1+88.5+83.4+12.5+9.5+150.1+22.5+186.2+4.9+4+114.4+3.8+14.2+19.1+99.9+6+8.7+4.7+41.2+32.9+3</f>
        <v>3175</v>
      </c>
      <c r="E100" s="1">
        <f>D100/D98*100</f>
        <v>89.22800213585138</v>
      </c>
      <c r="F100" s="1">
        <f aca="true" t="shared" si="15" ref="F100:F134">D100/B100*100</f>
        <v>84.47968496394647</v>
      </c>
      <c r="G100" s="1">
        <f t="shared" si="12"/>
        <v>60.914776869651966</v>
      </c>
      <c r="H100" s="1">
        <f t="shared" si="13"/>
        <v>583.2999999999997</v>
      </c>
      <c r="I100" s="1">
        <f t="shared" si="14"/>
        <v>2037.2000000000007</v>
      </c>
    </row>
    <row r="101" spans="1:9" ht="54.75" thickBot="1">
      <c r="A101" s="99" t="s">
        <v>110</v>
      </c>
      <c r="B101" s="101">
        <v>192.9</v>
      </c>
      <c r="C101" s="101">
        <v>400.1</v>
      </c>
      <c r="D101" s="101">
        <f>17.7+41.2+3</f>
        <v>61.900000000000006</v>
      </c>
      <c r="E101" s="97">
        <f>D101/D98*100</f>
        <v>1.7395947503021105</v>
      </c>
      <c r="F101" s="97">
        <f>D101/B101*100</f>
        <v>32.08916537065837</v>
      </c>
      <c r="G101" s="97">
        <f>D101/C101*100</f>
        <v>15.471132216945765</v>
      </c>
      <c r="H101" s="97">
        <f t="shared" si="13"/>
        <v>131</v>
      </c>
      <c r="I101" s="97">
        <f>C101-D101</f>
        <v>338.20000000000005</v>
      </c>
    </row>
    <row r="102" spans="1:9" ht="18.75" thickBot="1">
      <c r="A102" s="99" t="s">
        <v>35</v>
      </c>
      <c r="B102" s="101">
        <f>B98-B99-B100</f>
        <v>550.7000000000003</v>
      </c>
      <c r="C102" s="101">
        <f>C98-C99-C100</f>
        <v>936.3999999999996</v>
      </c>
      <c r="D102" s="101">
        <f>D98-D99-D100</f>
        <v>368.10000000000036</v>
      </c>
      <c r="E102" s="97">
        <f>D102/D98*100</f>
        <v>10.344827586206906</v>
      </c>
      <c r="F102" s="97">
        <f t="shared" si="15"/>
        <v>66.84220083530056</v>
      </c>
      <c r="G102" s="97">
        <f t="shared" si="12"/>
        <v>39.31012387868438</v>
      </c>
      <c r="H102" s="97">
        <f>B102-D102</f>
        <v>182.5999999999999</v>
      </c>
      <c r="I102" s="97">
        <f t="shared" si="14"/>
        <v>568.2999999999993</v>
      </c>
    </row>
    <row r="103" spans="1:9" s="2" customFormat="1" ht="26.25" customHeight="1" thickBot="1">
      <c r="A103" s="93" t="s">
        <v>36</v>
      </c>
      <c r="B103" s="94">
        <f>SUM(B104:B133)-B111-B115+B134-B129-B130-B105-B108</f>
        <v>12822.599999999999</v>
      </c>
      <c r="C103" s="94">
        <f>SUM(C104:C133)-C111-C115+C134-C129-C130-C105-C108</f>
        <v>16927.2</v>
      </c>
      <c r="D103" s="94">
        <f>SUM(D104:D133)-D111-D115+D134-D129-D130-D105-D108</f>
        <v>9430.100000000004</v>
      </c>
      <c r="E103" s="95">
        <f>D103/D136*100</f>
        <v>2.2667125068153897</v>
      </c>
      <c r="F103" s="95">
        <f>D103/B103*100</f>
        <v>73.54280723098283</v>
      </c>
      <c r="G103" s="95">
        <f t="shared" si="12"/>
        <v>55.70974526206345</v>
      </c>
      <c r="H103" s="95">
        <f t="shared" si="13"/>
        <v>3392.4999999999945</v>
      </c>
      <c r="I103" s="95">
        <f t="shared" si="14"/>
        <v>7497.099999999997</v>
      </c>
    </row>
    <row r="104" spans="1:9" ht="37.5">
      <c r="A104" s="34" t="s">
        <v>69</v>
      </c>
      <c r="B104" s="79">
        <v>1195.8</v>
      </c>
      <c r="C104" s="75">
        <v>1869.9</v>
      </c>
      <c r="D104" s="80">
        <f>1.4+20.1+85.2+143.2+49+97.4+39.5+2.1+10+69.9+14</f>
        <v>531.8</v>
      </c>
      <c r="E104" s="6">
        <f>D104/D103*100</f>
        <v>5.6393887657607</v>
      </c>
      <c r="F104" s="6">
        <f t="shared" si="15"/>
        <v>44.47231978591738</v>
      </c>
      <c r="G104" s="6">
        <f t="shared" si="12"/>
        <v>28.440023530670082</v>
      </c>
      <c r="H104" s="6">
        <f aca="true" t="shared" si="16" ref="H104:H134">B104-D104</f>
        <v>664</v>
      </c>
      <c r="I104" s="6">
        <f t="shared" si="14"/>
        <v>1338.1000000000001</v>
      </c>
    </row>
    <row r="105" spans="1:9" ht="18">
      <c r="A105" s="29" t="s">
        <v>33</v>
      </c>
      <c r="B105" s="82">
        <f>766.9-331.3</f>
        <v>435.59999999999997</v>
      </c>
      <c r="C105" s="51">
        <f>1242.6+0.7-337</f>
        <v>906.3</v>
      </c>
      <c r="D105" s="83">
        <f>1.4+85.2+143.2+49+2.1+10+14</f>
        <v>304.90000000000003</v>
      </c>
      <c r="E105" s="1"/>
      <c r="F105" s="1">
        <f t="shared" si="15"/>
        <v>69.99540863177228</v>
      </c>
      <c r="G105" s="1">
        <f t="shared" si="12"/>
        <v>33.642281805141785</v>
      </c>
      <c r="H105" s="1">
        <f t="shared" si="16"/>
        <v>130.69999999999993</v>
      </c>
      <c r="I105" s="1">
        <f t="shared" si="14"/>
        <v>601.3999999999999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23.1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23.1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50</v>
      </c>
      <c r="C109" s="68">
        <v>75.5</v>
      </c>
      <c r="D109" s="80">
        <f>5.5+5.5+5.5-0.1+5.5+5.5+5.5+5.5</f>
        <v>38.4</v>
      </c>
      <c r="E109" s="6">
        <f>D109/D103*100</f>
        <v>0.4072067104272487</v>
      </c>
      <c r="F109" s="6">
        <f t="shared" si="15"/>
        <v>76.8</v>
      </c>
      <c r="G109" s="6">
        <f t="shared" si="12"/>
        <v>50.86092715231788</v>
      </c>
      <c r="H109" s="6">
        <f t="shared" si="16"/>
        <v>11.600000000000001</v>
      </c>
      <c r="I109" s="6">
        <f t="shared" si="14"/>
        <v>37.1</v>
      </c>
    </row>
    <row r="110" spans="1:9" ht="37.5">
      <c r="A110" s="17" t="s">
        <v>47</v>
      </c>
      <c r="B110" s="81">
        <v>702.6</v>
      </c>
      <c r="C110" s="68">
        <v>1050</v>
      </c>
      <c r="D110" s="80">
        <f>149.7+2.5+4.1+81.3+2.1+67.3+8+8.2+93.7+3.3+1.1+74.6+81.4+0.6</f>
        <v>577.9</v>
      </c>
      <c r="E110" s="6">
        <f>D110/D103*100</f>
        <v>6.128248905101746</v>
      </c>
      <c r="F110" s="6">
        <f t="shared" si="15"/>
        <v>82.25163677768289</v>
      </c>
      <c r="G110" s="6">
        <f t="shared" si="12"/>
        <v>55.03809523809523</v>
      </c>
      <c r="H110" s="6">
        <f t="shared" si="16"/>
        <v>124.70000000000005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0.24283941845791657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138.6</v>
      </c>
      <c r="C113" s="68">
        <f>488.6-250</f>
        <v>238.60000000000002</v>
      </c>
      <c r="D113" s="80">
        <f>4.9+70</f>
        <v>74.9</v>
      </c>
      <c r="E113" s="6">
        <f>D113/D103*100</f>
        <v>0.7942651721614827</v>
      </c>
      <c r="F113" s="6">
        <f>D113/B113*100</f>
        <v>54.04040404040404</v>
      </c>
      <c r="G113" s="6">
        <f t="shared" si="12"/>
        <v>31.391450125733446</v>
      </c>
      <c r="H113" s="6">
        <f t="shared" si="16"/>
        <v>63.69999999999999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f>114.8+27</f>
        <v>141.8</v>
      </c>
      <c r="C114" s="60">
        <v>153.4</v>
      </c>
      <c r="D114" s="80">
        <f>13.5+13.4+14.3+0.8+6.9+0.4+13.5-0.1+0.8+0.5+2+13.5-0.1+0.1+13.9+0.3+2.4+13.5+0.3</f>
        <v>109.9</v>
      </c>
      <c r="E114" s="6">
        <f>D114/D103*100</f>
        <v>1.165417121769652</v>
      </c>
      <c r="F114" s="6">
        <f t="shared" si="15"/>
        <v>77.50352609308887</v>
      </c>
      <c r="G114" s="6">
        <f t="shared" si="12"/>
        <v>71.64276401564538</v>
      </c>
      <c r="H114" s="6">
        <f t="shared" si="16"/>
        <v>31.900000000000006</v>
      </c>
      <c r="I114" s="6">
        <f t="shared" si="14"/>
        <v>43.5</v>
      </c>
    </row>
    <row r="115" spans="1:9" s="39" customFormat="1" ht="18">
      <c r="A115" s="40" t="s">
        <v>54</v>
      </c>
      <c r="B115" s="82">
        <f>94.3+27</f>
        <v>121.3</v>
      </c>
      <c r="C115" s="51">
        <v>121.2</v>
      </c>
      <c r="D115" s="83">
        <f>13.5+13.4+13.5+13.5+13.4+13.5+13.5</f>
        <v>94.3</v>
      </c>
      <c r="E115" s="1"/>
      <c r="F115" s="1">
        <f t="shared" si="15"/>
        <v>77.74113767518548</v>
      </c>
      <c r="G115" s="1">
        <f t="shared" si="12"/>
        <v>77.8052805280528</v>
      </c>
      <c r="H115" s="1">
        <f t="shared" si="16"/>
        <v>27</v>
      </c>
      <c r="I115" s="1">
        <f t="shared" si="14"/>
        <v>26.900000000000006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94.7</v>
      </c>
      <c r="C117" s="60">
        <v>94.7</v>
      </c>
      <c r="D117" s="84">
        <f>16.2+3.7</f>
        <v>19.9</v>
      </c>
      <c r="E117" s="19">
        <f>D117/D103*100</f>
        <v>0.21102639420578773</v>
      </c>
      <c r="F117" s="6">
        <f t="shared" si="15"/>
        <v>21.013727560718053</v>
      </c>
      <c r="G117" s="6">
        <f t="shared" si="12"/>
        <v>21.013727560718053</v>
      </c>
      <c r="H117" s="6">
        <f t="shared" si="16"/>
        <v>74.80000000000001</v>
      </c>
      <c r="I117" s="6">
        <f t="shared" si="14"/>
        <v>74.80000000000001</v>
      </c>
    </row>
    <row r="118" spans="1:9" s="117" customFormat="1" ht="18">
      <c r="A118" s="29" t="s">
        <v>112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2" customFormat="1" ht="37.5">
      <c r="A119" s="17" t="s">
        <v>49</v>
      </c>
      <c r="B119" s="81">
        <v>1624.4</v>
      </c>
      <c r="C119" s="60">
        <v>1700.1</v>
      </c>
      <c r="D119" s="84">
        <f>196.6+25+11.8+12.7+6.1+3.1+261.8+113.5+10.8</f>
        <v>641.4</v>
      </c>
      <c r="E119" s="19">
        <f>D119/D103*100</f>
        <v>6.801624585105139</v>
      </c>
      <c r="F119" s="6">
        <f t="shared" si="15"/>
        <v>39.485348436345724</v>
      </c>
      <c r="G119" s="6">
        <f t="shared" si="12"/>
        <v>37.72719251808717</v>
      </c>
      <c r="H119" s="6">
        <f t="shared" si="16"/>
        <v>983.0000000000001</v>
      </c>
      <c r="I119" s="6">
        <f t="shared" si="14"/>
        <v>1058.6999999999998</v>
      </c>
    </row>
    <row r="120" spans="1:9" s="2" customFormat="1" ht="56.25">
      <c r="A120" s="17" t="s">
        <v>56</v>
      </c>
      <c r="B120" s="81">
        <v>146.3</v>
      </c>
      <c r="C120" s="60">
        <f>157.1+1.2</f>
        <v>158.29999999999998</v>
      </c>
      <c r="D120" s="84">
        <f>3.8+0.6</f>
        <v>4.3999999999999995</v>
      </c>
      <c r="E120" s="19">
        <f>D120/D103*100</f>
        <v>0.04665910223645558</v>
      </c>
      <c r="F120" s="6">
        <f t="shared" si="15"/>
        <v>3.0075187969924806</v>
      </c>
      <c r="G120" s="6">
        <f t="shared" si="12"/>
        <v>2.779532533164877</v>
      </c>
      <c r="H120" s="6">
        <f t="shared" si="16"/>
        <v>141.9</v>
      </c>
      <c r="I120" s="6">
        <f t="shared" si="14"/>
        <v>153.89999999999998</v>
      </c>
    </row>
    <row r="121" spans="1:9" s="2" customFormat="1" ht="57" customHeight="1" hidden="1">
      <c r="A121" s="17" t="s">
        <v>73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7" t="s">
        <v>59</v>
      </c>
      <c r="B122" s="81">
        <v>50</v>
      </c>
      <c r="C122" s="60">
        <v>50</v>
      </c>
      <c r="D122" s="84">
        <f>16.8+4.6+2.6+2.5+4.9+4.9+7.6</f>
        <v>43.9</v>
      </c>
      <c r="E122" s="19">
        <f>D122/D103*100</f>
        <v>0.46553058822281823</v>
      </c>
      <c r="F122" s="6">
        <f t="shared" si="15"/>
        <v>87.8</v>
      </c>
      <c r="G122" s="6">
        <f t="shared" si="12"/>
        <v>87.8</v>
      </c>
      <c r="H122" s="6">
        <f t="shared" si="16"/>
        <v>6.100000000000001</v>
      </c>
      <c r="I122" s="6">
        <f t="shared" si="14"/>
        <v>6.100000000000001</v>
      </c>
    </row>
    <row r="123" spans="1:9" s="2" customFormat="1" ht="37.5">
      <c r="A123" s="17" t="s">
        <v>81</v>
      </c>
      <c r="B123" s="81">
        <v>84.7</v>
      </c>
      <c r="C123" s="60">
        <v>84.7</v>
      </c>
      <c r="D123" s="84">
        <f>18.3+9.7</f>
        <v>28</v>
      </c>
      <c r="E123" s="19">
        <f>D123/D103*100</f>
        <v>0.29692155968653555</v>
      </c>
      <c r="F123" s="6">
        <f t="shared" si="15"/>
        <v>33.057851239669425</v>
      </c>
      <c r="G123" s="6">
        <f t="shared" si="12"/>
        <v>33.057851239669425</v>
      </c>
      <c r="H123" s="6">
        <f t="shared" si="16"/>
        <v>56.7</v>
      </c>
      <c r="I123" s="6">
        <f t="shared" si="14"/>
        <v>56.7</v>
      </c>
    </row>
    <row r="124" spans="1:9" s="2" customFormat="1" ht="18.75">
      <c r="A124" s="17" t="s">
        <v>75</v>
      </c>
      <c r="B124" s="81">
        <v>135.9</v>
      </c>
      <c r="C124" s="60">
        <v>178.8</v>
      </c>
      <c r="D124" s="84">
        <f>7.2+1.4+9.3+6.8+7.7+4.3+1.8+6+21.8+13.1+2.5+17+2.4</f>
        <v>101.3</v>
      </c>
      <c r="E124" s="19">
        <f>D124/D103*100</f>
        <v>1.074219785580216</v>
      </c>
      <c r="F124" s="6">
        <f t="shared" si="15"/>
        <v>74.5401030169242</v>
      </c>
      <c r="G124" s="6">
        <f t="shared" si="12"/>
        <v>56.65548098434003</v>
      </c>
      <c r="H124" s="6">
        <f t="shared" si="16"/>
        <v>34.60000000000001</v>
      </c>
      <c r="I124" s="6">
        <f t="shared" si="14"/>
        <v>77.50000000000001</v>
      </c>
    </row>
    <row r="125" spans="1:9" s="2" customFormat="1" ht="35.25" customHeight="1">
      <c r="A125" s="17" t="s">
        <v>74</v>
      </c>
      <c r="B125" s="81">
        <v>39.8</v>
      </c>
      <c r="C125" s="60">
        <v>67.6</v>
      </c>
      <c r="D125" s="84">
        <f>0.5+1.5+0.1+14.8</f>
        <v>16.900000000000002</v>
      </c>
      <c r="E125" s="19">
        <f>D125/D103*100</f>
        <v>0.17921336995365897</v>
      </c>
      <c r="F125" s="6">
        <f t="shared" si="15"/>
        <v>42.46231155778895</v>
      </c>
      <c r="G125" s="6">
        <f t="shared" si="12"/>
        <v>25.000000000000007</v>
      </c>
      <c r="H125" s="6">
        <f t="shared" si="16"/>
        <v>22.899999999999995</v>
      </c>
      <c r="I125" s="6">
        <f t="shared" si="14"/>
        <v>50.69999999999999</v>
      </c>
    </row>
    <row r="126" spans="1:9" s="2" customFormat="1" ht="35.25" customHeight="1">
      <c r="A126" s="17" t="s">
        <v>76</v>
      </c>
      <c r="B126" s="81">
        <v>60</v>
      </c>
      <c r="C126" s="60">
        <v>60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60</v>
      </c>
      <c r="I126" s="6">
        <f t="shared" si="14"/>
        <v>60</v>
      </c>
    </row>
    <row r="127" spans="1:9" s="2" customFormat="1" ht="18.75">
      <c r="A127" s="17" t="s">
        <v>101</v>
      </c>
      <c r="B127" s="81">
        <v>45.4</v>
      </c>
      <c r="C127" s="60">
        <f>115-64.6</f>
        <v>50.400000000000006</v>
      </c>
      <c r="D127" s="84"/>
      <c r="E127" s="19">
        <f>D127/D103*100</f>
        <v>0</v>
      </c>
      <c r="F127" s="6">
        <f t="shared" si="15"/>
        <v>0</v>
      </c>
      <c r="G127" s="6">
        <f>D127/C127*100</f>
        <v>0</v>
      </c>
      <c r="H127" s="6">
        <f t="shared" si="16"/>
        <v>45.4</v>
      </c>
      <c r="I127" s="6">
        <f t="shared" si="14"/>
        <v>50.400000000000006</v>
      </c>
    </row>
    <row r="128" spans="1:9" s="2" customFormat="1" ht="18.75">
      <c r="A128" s="17" t="s">
        <v>32</v>
      </c>
      <c r="B128" s="81">
        <v>583</v>
      </c>
      <c r="C128" s="60">
        <v>868.2</v>
      </c>
      <c r="D128" s="84">
        <f>21.4+1.2+34.6+22.6+3.4+31.2+5.1+22.6+3+44.8+0.2+32.7+27.3+30.6+3.7+29.7+4.3+33.6+0.1+0.1+6.3+25.5+0.4+38.4+0.1+0.3+0.6+29.7+0.1+36.6+5.6+24.5+3.6+36.9</f>
        <v>560.8000000000002</v>
      </c>
      <c r="E128" s="19">
        <f>D128/D103*100</f>
        <v>5.946914666864614</v>
      </c>
      <c r="F128" s="6">
        <f t="shared" si="15"/>
        <v>96.19210977701546</v>
      </c>
      <c r="G128" s="6">
        <f t="shared" si="12"/>
        <v>64.59341165630042</v>
      </c>
      <c r="H128" s="6">
        <f t="shared" si="16"/>
        <v>22.199999999999818</v>
      </c>
      <c r="I128" s="6">
        <f t="shared" si="14"/>
        <v>307.39999999999986</v>
      </c>
    </row>
    <row r="129" spans="1:9" s="39" customFormat="1" ht="18">
      <c r="A129" s="40" t="s">
        <v>54</v>
      </c>
      <c r="B129" s="82">
        <v>501.3</v>
      </c>
      <c r="C129" s="51">
        <v>747.1</v>
      </c>
      <c r="D129" s="83">
        <f>21.4+1.2+34.6+22.6+31.2+22.6+44.8+0.2+32.7+30.6+29.7+33.6+24.3+38.4+29.7+36.6+5.6+24.5+36.9</f>
        <v>501.20000000000005</v>
      </c>
      <c r="E129" s="1">
        <f>D129/D128*100</f>
        <v>89.37232524964335</v>
      </c>
      <c r="F129" s="1">
        <f>D129/B129*100</f>
        <v>99.98005186515061</v>
      </c>
      <c r="G129" s="1">
        <f t="shared" si="12"/>
        <v>67.08606612233972</v>
      </c>
      <c r="H129" s="1">
        <f t="shared" si="16"/>
        <v>0.0999999999999659</v>
      </c>
      <c r="I129" s="1">
        <f t="shared" si="14"/>
        <v>245.89999999999998</v>
      </c>
    </row>
    <row r="130" spans="1:9" s="39" customFormat="1" ht="18">
      <c r="A130" s="29" t="s">
        <v>33</v>
      </c>
      <c r="B130" s="82">
        <v>12.9</v>
      </c>
      <c r="C130" s="51">
        <v>27.4</v>
      </c>
      <c r="D130" s="83">
        <f>3.4+3+2.7+1.6-0.1+0.1+0.1</f>
        <v>10.8</v>
      </c>
      <c r="E130" s="1">
        <f>D130/D128*100</f>
        <v>1.9258202567760336</v>
      </c>
      <c r="F130" s="1">
        <f>D130/B130*100</f>
        <v>83.72093023255815</v>
      </c>
      <c r="G130" s="1">
        <f>D130/C130*100</f>
        <v>39.41605839416059</v>
      </c>
      <c r="H130" s="1">
        <f t="shared" si="16"/>
        <v>2.0999999999999996</v>
      </c>
      <c r="I130" s="1">
        <f t="shared" si="14"/>
        <v>16.599999999999998</v>
      </c>
    </row>
    <row r="131" spans="1:9" s="2" customFormat="1" ht="18.75">
      <c r="A131" s="17" t="s">
        <v>27</v>
      </c>
      <c r="B131" s="81">
        <v>6282</v>
      </c>
      <c r="C131" s="60">
        <v>8376</v>
      </c>
      <c r="D131" s="84">
        <f>1513.1+580.9+2094+2094</f>
        <v>6282</v>
      </c>
      <c r="E131" s="19">
        <f>D131/D103*100</f>
        <v>66.61647278395773</v>
      </c>
      <c r="F131" s="6">
        <f t="shared" si="15"/>
        <v>100</v>
      </c>
      <c r="G131" s="6">
        <f t="shared" si="12"/>
        <v>75</v>
      </c>
      <c r="H131" s="6">
        <f t="shared" si="16"/>
        <v>0</v>
      </c>
      <c r="I131" s="6">
        <f t="shared" si="14"/>
        <v>2094</v>
      </c>
    </row>
    <row r="132" spans="1:12" s="2" customFormat="1" ht="18.75" customHeight="1">
      <c r="A132" s="17" t="s">
        <v>105</v>
      </c>
      <c r="B132" s="81">
        <v>475.8</v>
      </c>
      <c r="C132" s="60">
        <v>475.8</v>
      </c>
      <c r="D132" s="84">
        <f>90+165.6+35+30+20+35.1</f>
        <v>375.70000000000005</v>
      </c>
      <c r="E132" s="19">
        <f>D132/D103*100</f>
        <v>3.9840510705082646</v>
      </c>
      <c r="F132" s="114">
        <f>D132/B132*100</f>
        <v>78.9617486338798</v>
      </c>
      <c r="G132" s="6">
        <f t="shared" si="12"/>
        <v>78.9617486338798</v>
      </c>
      <c r="H132" s="6">
        <f t="shared" si="16"/>
        <v>100.09999999999997</v>
      </c>
      <c r="I132" s="6">
        <f t="shared" si="14"/>
        <v>100.09999999999997</v>
      </c>
      <c r="K132" s="45"/>
      <c r="L132" s="45"/>
    </row>
    <row r="133" spans="1:12" s="2" customFormat="1" ht="19.5" customHeight="1" hidden="1">
      <c r="A133" s="17" t="s">
        <v>67</v>
      </c>
      <c r="B133" s="81">
        <v>0</v>
      </c>
      <c r="C133" s="60">
        <v>0</v>
      </c>
      <c r="D133" s="84"/>
      <c r="E133" s="19">
        <f>D133/D103*100</f>
        <v>0</v>
      </c>
      <c r="F133" s="6"/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104"/>
      <c r="L133" s="45"/>
    </row>
    <row r="134" spans="1:12" s="2" customFormat="1" ht="18.75" hidden="1">
      <c r="A134" s="17" t="s">
        <v>62</v>
      </c>
      <c r="B134" s="81"/>
      <c r="C134" s="60"/>
      <c r="D134" s="84"/>
      <c r="E134" s="19">
        <f>D134/D103*100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45"/>
      <c r="L134" s="45"/>
    </row>
    <row r="135" spans="1:12" s="2" customFormat="1" ht="19.5" thickBot="1">
      <c r="A135" s="41" t="s">
        <v>37</v>
      </c>
      <c r="B135" s="85">
        <f>B41+B66+B69+B74+B76+B84+B98+B103+B96+B81+B94</f>
        <v>18485.899999999998</v>
      </c>
      <c r="C135" s="85">
        <f>C41+C66+C69+C74+C76+C84+C98+C103+C96+C81+C94</f>
        <v>25071.600000000002</v>
      </c>
      <c r="D135" s="60">
        <f>D41+D66+D69+D74+D76+D84+D98+D103+D96+D81+D94</f>
        <v>13419.800000000005</v>
      </c>
      <c r="E135" s="19"/>
      <c r="F135" s="19"/>
      <c r="G135" s="6"/>
      <c r="H135" s="6"/>
      <c r="I135" s="20"/>
      <c r="K135" s="45"/>
      <c r="L135" s="45"/>
    </row>
    <row r="136" spans="1:12" ht="19.5" thickBot="1">
      <c r="A136" s="14" t="s">
        <v>19</v>
      </c>
      <c r="B136" s="54">
        <f>B6+B17+B31+B41+B49+B56+B66+B69+B74+B76+B84+B87+B92+B98+B103+B96+B81+B94+B43</f>
        <v>449165.29999999993</v>
      </c>
      <c r="C136" s="54">
        <f>C6+C17+C31+C41+C49+C56+C66+C69+C74+C76+C84+C87+C92+C98+C103+C96+C81+C94+C43</f>
        <v>624229.8</v>
      </c>
      <c r="D136" s="54">
        <f>D6+D17+D31+D41+D49+D56+D66+D69+D74+D76+D84+D87+D92+D98+D103+D96+D81+D94+D43</f>
        <v>416025.4100000001</v>
      </c>
      <c r="E136" s="38">
        <v>100</v>
      </c>
      <c r="F136" s="3">
        <f>D136/B136*100</f>
        <v>92.62189443396454</v>
      </c>
      <c r="G136" s="3">
        <f aca="true" t="shared" si="17" ref="G136:G142">D136/C136*100</f>
        <v>66.64619503907055</v>
      </c>
      <c r="H136" s="3">
        <f aca="true" t="shared" si="18" ref="H136:H142">B136-D136</f>
        <v>33139.88999999984</v>
      </c>
      <c r="I136" s="3">
        <f aca="true" t="shared" si="19" ref="I136:I142">C136-D136</f>
        <v>208204.38999999996</v>
      </c>
      <c r="K136" s="46"/>
      <c r="L136" s="47"/>
    </row>
    <row r="137" spans="1:12" ht="18.75">
      <c r="A137" s="23" t="s">
        <v>5</v>
      </c>
      <c r="B137" s="67">
        <f>B7+B18+B32+B50+B57+B88+B111+B115+B44+B129</f>
        <v>320083.1</v>
      </c>
      <c r="C137" s="67">
        <f>C7+C18+C32+C50+C57+C88+C111+C115+C44+C129</f>
        <v>430257.9</v>
      </c>
      <c r="D137" s="67">
        <f>D7+D18+D32+D50+D57+D88+D111+D115+D44+D129</f>
        <v>311555.99999999994</v>
      </c>
      <c r="E137" s="6">
        <f>D137/D136*100</f>
        <v>74.88869489966969</v>
      </c>
      <c r="F137" s="6">
        <f aca="true" t="shared" si="20" ref="F137:F148">D137/B137*100</f>
        <v>97.33597306449481</v>
      </c>
      <c r="G137" s="6">
        <f t="shared" si="17"/>
        <v>72.41145368859002</v>
      </c>
      <c r="H137" s="6">
        <f t="shared" si="18"/>
        <v>8527.100000000035</v>
      </c>
      <c r="I137" s="18">
        <f t="shared" si="19"/>
        <v>118701.90000000008</v>
      </c>
      <c r="K137" s="46"/>
      <c r="L137" s="47"/>
    </row>
    <row r="138" spans="1:12" ht="18.75">
      <c r="A138" s="23" t="s">
        <v>0</v>
      </c>
      <c r="B138" s="68">
        <f>B10+B21+B34+B53+B59+B89+B47+B130+B105+B108</f>
        <v>36207.3</v>
      </c>
      <c r="C138" s="68">
        <f>C10+C21+C34+C53+C59+C89+C47+C130+C105+C108</f>
        <v>64586.7</v>
      </c>
      <c r="D138" s="68">
        <f>D10+D21+D34+D53+D59+D89+D47+D130+D105+D108</f>
        <v>34403.40000000001</v>
      </c>
      <c r="E138" s="6">
        <f>D138/D136*100</f>
        <v>8.269542958926476</v>
      </c>
      <c r="F138" s="6">
        <f t="shared" si="20"/>
        <v>95.01785551532429</v>
      </c>
      <c r="G138" s="6">
        <f t="shared" si="17"/>
        <v>53.26700388779735</v>
      </c>
      <c r="H138" s="6">
        <f t="shared" si="18"/>
        <v>1803.8999999999942</v>
      </c>
      <c r="I138" s="18">
        <f t="shared" si="19"/>
        <v>30183.29999999999</v>
      </c>
      <c r="K138" s="46"/>
      <c r="L138" s="103"/>
    </row>
    <row r="139" spans="1:12" ht="18.75">
      <c r="A139" s="23" t="s">
        <v>1</v>
      </c>
      <c r="B139" s="67">
        <f>B20+B9+B52+B46+B58+B33+B99</f>
        <v>12979.599999999999</v>
      </c>
      <c r="C139" s="67">
        <f>C20+C9+C52+C46+C58+C33+C99</f>
        <v>20504.5</v>
      </c>
      <c r="D139" s="67">
        <f>D20+D9+D52+D46+D58+D33+D99</f>
        <v>12320.200000000003</v>
      </c>
      <c r="E139" s="6">
        <f>D139/D136*100</f>
        <v>2.961405650678885</v>
      </c>
      <c r="F139" s="6">
        <f t="shared" si="20"/>
        <v>94.91972017627664</v>
      </c>
      <c r="G139" s="6">
        <f t="shared" si="17"/>
        <v>60.08534711892513</v>
      </c>
      <c r="H139" s="6">
        <f t="shared" si="18"/>
        <v>659.399999999996</v>
      </c>
      <c r="I139" s="18">
        <f t="shared" si="19"/>
        <v>8184.299999999997</v>
      </c>
      <c r="K139" s="46"/>
      <c r="L139" s="47"/>
    </row>
    <row r="140" spans="1:12" ht="21" customHeight="1">
      <c r="A140" s="23" t="s">
        <v>15</v>
      </c>
      <c r="B140" s="67">
        <f>B11+B22+B100+B60+B36+B90</f>
        <v>5719.2</v>
      </c>
      <c r="C140" s="67">
        <f>C11+C22+C100+C60+C36+C90</f>
        <v>7636.400000000001</v>
      </c>
      <c r="D140" s="67">
        <f>D11+D22+D100+D60+D36+D90</f>
        <v>4930.2</v>
      </c>
      <c r="E140" s="6">
        <f>D140/D136*100</f>
        <v>1.1850718445298807</v>
      </c>
      <c r="F140" s="6">
        <f t="shared" si="20"/>
        <v>86.2043642467478</v>
      </c>
      <c r="G140" s="6">
        <f t="shared" si="17"/>
        <v>64.56183541983133</v>
      </c>
      <c r="H140" s="6">
        <f t="shared" si="18"/>
        <v>789</v>
      </c>
      <c r="I140" s="18">
        <f t="shared" si="19"/>
        <v>2706.2000000000007</v>
      </c>
      <c r="K140" s="46"/>
      <c r="L140" s="103"/>
    </row>
    <row r="141" spans="1:12" ht="18.75">
      <c r="A141" s="23" t="s">
        <v>2</v>
      </c>
      <c r="B141" s="67">
        <f>B8+B19+B45+B51+B118</f>
        <v>5306.799999999999</v>
      </c>
      <c r="C141" s="67">
        <f>C8+C19+C45+C51+C118</f>
        <v>7943.900000000001</v>
      </c>
      <c r="D141" s="67">
        <f>D8+D19+D45+D51+D118</f>
        <v>2835.7</v>
      </c>
      <c r="E141" s="6">
        <f>D141/D136*100</f>
        <v>0.6816170194988809</v>
      </c>
      <c r="F141" s="6">
        <f t="shared" si="20"/>
        <v>53.435215195598104</v>
      </c>
      <c r="G141" s="6">
        <f t="shared" si="17"/>
        <v>35.69657221264114</v>
      </c>
      <c r="H141" s="6">
        <f t="shared" si="18"/>
        <v>2471.0999999999995</v>
      </c>
      <c r="I141" s="18">
        <f t="shared" si="19"/>
        <v>5108.200000000001</v>
      </c>
      <c r="K141" s="46"/>
      <c r="L141" s="47"/>
    </row>
    <row r="142" spans="1:12" ht="19.5" thickBot="1">
      <c r="A142" s="23" t="s">
        <v>35</v>
      </c>
      <c r="B142" s="67">
        <f>B136-B137-B138-B139-B140-B141</f>
        <v>68869.29999999996</v>
      </c>
      <c r="C142" s="67">
        <f>C136-C137-C138-C139-C140-C141</f>
        <v>93300.40000000004</v>
      </c>
      <c r="D142" s="67">
        <f>D136-D137-D138-D139-D140-D141</f>
        <v>49979.91000000014</v>
      </c>
      <c r="E142" s="6">
        <f>D142/D136*100</f>
        <v>12.013667626696199</v>
      </c>
      <c r="F142" s="6">
        <f t="shared" si="20"/>
        <v>72.57211849111313</v>
      </c>
      <c r="G142" s="43">
        <f t="shared" si="17"/>
        <v>53.5688057071568</v>
      </c>
      <c r="H142" s="6">
        <f t="shared" si="18"/>
        <v>18889.389999999818</v>
      </c>
      <c r="I142" s="6">
        <f t="shared" si="19"/>
        <v>43320.489999999896</v>
      </c>
      <c r="K142" s="46"/>
      <c r="L142" s="103"/>
    </row>
    <row r="143" spans="1:12" ht="5.25" customHeight="1" thickBot="1">
      <c r="A143" s="35"/>
      <c r="B143" s="86"/>
      <c r="C143" s="87"/>
      <c r="D143" s="87"/>
      <c r="E143" s="21"/>
      <c r="F143" s="21"/>
      <c r="G143" s="21"/>
      <c r="H143" s="21"/>
      <c r="I143" s="22"/>
      <c r="K143" s="46"/>
      <c r="L143" s="46"/>
    </row>
    <row r="144" spans="1:12" ht="18.75">
      <c r="A144" s="32" t="s">
        <v>21</v>
      </c>
      <c r="B144" s="88">
        <v>55515.4</v>
      </c>
      <c r="C144" s="74">
        <f>77971.6-5250</f>
        <v>72721.6</v>
      </c>
      <c r="D144" s="74">
        <f>1285.7+343.1+251.2+535+4+1250.9+3+47.1-1+182.9+10.6+2492.6+31+22.3+70.1+288.5+61.4+28+67+8.2+59.1+10.4+80.6+354.8+3.8</f>
        <v>7490.300000000001</v>
      </c>
      <c r="E144" s="15"/>
      <c r="F144" s="6">
        <f t="shared" si="20"/>
        <v>13.492292228822993</v>
      </c>
      <c r="G144" s="6">
        <f aca="true" t="shared" si="21" ref="G144:G153">D144/C144*100</f>
        <v>10.299965897339995</v>
      </c>
      <c r="H144" s="6">
        <f>B144-D144</f>
        <v>48025.1</v>
      </c>
      <c r="I144" s="6">
        <f aca="true" t="shared" si="22" ref="I144:I153">C144-D144</f>
        <v>65231.3</v>
      </c>
      <c r="J144" s="105"/>
      <c r="K144" s="46"/>
      <c r="L144" s="46"/>
    </row>
    <row r="145" spans="1:12" ht="18.75">
      <c r="A145" s="23" t="s">
        <v>22</v>
      </c>
      <c r="B145" s="89">
        <v>20400.2</v>
      </c>
      <c r="C145" s="67">
        <f>23644.2-130</f>
        <v>23514.2</v>
      </c>
      <c r="D145" s="67">
        <f>2921.3+155.4+1707.9+56.8+14.6+990.8-990.8+14.7+990.8+400.1+597.2+8.8-9.6+18.2</f>
        <v>6876.200000000001</v>
      </c>
      <c r="E145" s="6"/>
      <c r="F145" s="6">
        <f t="shared" si="20"/>
        <v>33.70653228889913</v>
      </c>
      <c r="G145" s="6">
        <f t="shared" si="21"/>
        <v>29.242755441392866</v>
      </c>
      <c r="H145" s="6">
        <f aca="true" t="shared" si="23" ref="H145:H152">B145-D145</f>
        <v>13524</v>
      </c>
      <c r="I145" s="6">
        <f t="shared" si="22"/>
        <v>16638</v>
      </c>
      <c r="K145" s="46"/>
      <c r="L145" s="46"/>
    </row>
    <row r="146" spans="1:12" ht="18.75">
      <c r="A146" s="23" t="s">
        <v>63</v>
      </c>
      <c r="B146" s="89">
        <v>65236.1</v>
      </c>
      <c r="C146" s="67">
        <f>109130.7-6200+130</f>
        <v>103060.7</v>
      </c>
      <c r="D146" s="67">
        <f>12373.9+5.2+226.7+32.3+504.2+352+56.1+74.8+164.6+110.4+53.4+5+259.9+35.3+227.9+253.7+8.4+155.5+43.7+293.8+95.9+120+108.2-3.9+2.6+47.3+889.8+308.2</f>
        <v>16804.9</v>
      </c>
      <c r="E146" s="6"/>
      <c r="F146" s="6">
        <f t="shared" si="20"/>
        <v>25.760123612539687</v>
      </c>
      <c r="G146" s="6">
        <f t="shared" si="21"/>
        <v>16.305827536587664</v>
      </c>
      <c r="H146" s="6">
        <f t="shared" si="23"/>
        <v>48431.2</v>
      </c>
      <c r="I146" s="6">
        <f t="shared" si="22"/>
        <v>86255.79999999999</v>
      </c>
      <c r="K146" s="46"/>
      <c r="L146" s="46"/>
    </row>
    <row r="147" spans="1:12" ht="37.5">
      <c r="A147" s="23" t="s">
        <v>72</v>
      </c>
      <c r="B147" s="89">
        <v>6200</v>
      </c>
      <c r="C147" s="67">
        <v>6200</v>
      </c>
      <c r="D147" s="67">
        <f>5500+500</f>
        <v>6000</v>
      </c>
      <c r="E147" s="6"/>
      <c r="F147" s="6">
        <f t="shared" si="20"/>
        <v>96.7741935483871</v>
      </c>
      <c r="G147" s="6">
        <f t="shared" si="21"/>
        <v>96.7741935483871</v>
      </c>
      <c r="H147" s="6">
        <f t="shared" si="23"/>
        <v>200</v>
      </c>
      <c r="I147" s="6">
        <f t="shared" si="22"/>
        <v>200</v>
      </c>
      <c r="K147" s="46"/>
      <c r="L147" s="46"/>
    </row>
    <row r="148" spans="1:12" ht="18.75">
      <c r="A148" s="23" t="s">
        <v>13</v>
      </c>
      <c r="B148" s="89">
        <v>14974.5</v>
      </c>
      <c r="C148" s="67">
        <f>8750.7+10716.7</f>
        <v>19467.4</v>
      </c>
      <c r="D148" s="67">
        <f>1079.6+99+23+18.9+98+142.5+46.8+99.4+162.7+67+248.3+33.5+121.9+230+22.3+285.4+115.2+35.8+49.4+183.7+191.3+33.3+185.2</f>
        <v>3572.2000000000007</v>
      </c>
      <c r="E148" s="19"/>
      <c r="F148" s="6">
        <f t="shared" si="20"/>
        <v>23.85522054158737</v>
      </c>
      <c r="G148" s="6">
        <f t="shared" si="21"/>
        <v>18.349651211769423</v>
      </c>
      <c r="H148" s="6">
        <f t="shared" si="23"/>
        <v>11402.3</v>
      </c>
      <c r="I148" s="6">
        <f t="shared" si="22"/>
        <v>15895.2</v>
      </c>
      <c r="K148" s="46"/>
      <c r="L148" s="46"/>
    </row>
    <row r="149" spans="1:12" ht="18.75" hidden="1">
      <c r="A149" s="23" t="s">
        <v>26</v>
      </c>
      <c r="B149" s="89"/>
      <c r="C149" s="67"/>
      <c r="D149" s="67"/>
      <c r="E149" s="19"/>
      <c r="F149" s="6" t="e">
        <f>D149/B149*100</f>
        <v>#DIV/0!</v>
      </c>
      <c r="G149" s="6" t="e">
        <f t="shared" si="21"/>
        <v>#DIV/0!</v>
      </c>
      <c r="H149" s="6">
        <f t="shared" si="23"/>
        <v>0</v>
      </c>
      <c r="I149" s="6">
        <f t="shared" si="22"/>
        <v>0</v>
      </c>
      <c r="K149" s="46"/>
      <c r="L149" s="46"/>
    </row>
    <row r="150" spans="1:9" ht="18.75">
      <c r="A150" s="23" t="s">
        <v>53</v>
      </c>
      <c r="B150" s="89">
        <v>941.6</v>
      </c>
      <c r="C150" s="67">
        <f>790+361.2</f>
        <v>1151.2</v>
      </c>
      <c r="D150" s="67">
        <f>371+201.4+67.1</f>
        <v>639.5</v>
      </c>
      <c r="E150" s="19"/>
      <c r="F150" s="6">
        <f>D150/B150*100</f>
        <v>67.91631265930332</v>
      </c>
      <c r="G150" s="6">
        <f t="shared" si="21"/>
        <v>55.55072967338429</v>
      </c>
      <c r="H150" s="6">
        <f t="shared" si="23"/>
        <v>302.1</v>
      </c>
      <c r="I150" s="6">
        <f t="shared" si="22"/>
        <v>511.70000000000005</v>
      </c>
    </row>
    <row r="151" spans="1:9" ht="19.5" customHeight="1">
      <c r="A151" s="23" t="s">
        <v>70</v>
      </c>
      <c r="B151" s="89">
        <v>1678.3</v>
      </c>
      <c r="C151" s="67">
        <v>1945.7</v>
      </c>
      <c r="D151" s="67">
        <f>1118.3</f>
        <v>1118.3</v>
      </c>
      <c r="E151" s="19"/>
      <c r="F151" s="6">
        <f>D151/B151*100</f>
        <v>66.63290234165524</v>
      </c>
      <c r="G151" s="6">
        <f t="shared" si="21"/>
        <v>57.47545870380839</v>
      </c>
      <c r="H151" s="6">
        <f t="shared" si="23"/>
        <v>560</v>
      </c>
      <c r="I151" s="6">
        <f t="shared" si="22"/>
        <v>827.4000000000001</v>
      </c>
    </row>
    <row r="152" spans="1:9" ht="19.5" thickBot="1">
      <c r="A152" s="23" t="s">
        <v>64</v>
      </c>
      <c r="B152" s="89">
        <v>7107.7</v>
      </c>
      <c r="C152" s="90">
        <f>3939.6+4926.7</f>
        <v>8866.3</v>
      </c>
      <c r="D152" s="90">
        <f>95.1+9.9+65+49.9+275.1+44.8+19.5+19.1+33.5+61.7+72.9+34.3+99.3+27.3+72.8+14.7+35.2+85.4+11.5+60.4</f>
        <v>1187.4</v>
      </c>
      <c r="E152" s="24"/>
      <c r="F152" s="6">
        <f>D152/B152*100</f>
        <v>16.705826075945808</v>
      </c>
      <c r="G152" s="6">
        <f t="shared" si="21"/>
        <v>13.39228313952833</v>
      </c>
      <c r="H152" s="6">
        <f t="shared" si="23"/>
        <v>5920.299999999999</v>
      </c>
      <c r="I152" s="6">
        <f t="shared" si="22"/>
        <v>7678.9</v>
      </c>
    </row>
    <row r="153" spans="1:9" ht="19.5" thickBot="1">
      <c r="A153" s="14" t="s">
        <v>20</v>
      </c>
      <c r="B153" s="91">
        <f>B136+B144+B148+B149+B145+B152+B151+B146+B150+B147</f>
        <v>621219.0999999999</v>
      </c>
      <c r="C153" s="91">
        <f>C136+C144+C148+C149+C145+C152+C151+C146+C150+C147</f>
        <v>861156.8999999999</v>
      </c>
      <c r="D153" s="91">
        <f>D136+D144+D148+D149+D145+D152+D151+D146+D150+D147</f>
        <v>459714.21000000014</v>
      </c>
      <c r="E153" s="25"/>
      <c r="F153" s="3">
        <f>D153/B153*100</f>
        <v>74.00194391962518</v>
      </c>
      <c r="G153" s="3">
        <f t="shared" si="21"/>
        <v>53.383327707180904</v>
      </c>
      <c r="H153" s="3">
        <f>B153-D153</f>
        <v>161504.88999999972</v>
      </c>
      <c r="I153" s="3">
        <f t="shared" si="22"/>
        <v>401442.68999999977</v>
      </c>
    </row>
    <row r="154" spans="7:8" ht="12.75">
      <c r="G154" s="26"/>
      <c r="H154" s="26"/>
    </row>
    <row r="155" spans="7:9" ht="12.75">
      <c r="G155" s="26"/>
      <c r="H155" s="26"/>
      <c r="I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фінансування'!C136</f>
        <v>624229.8</v>
      </c>
    </row>
    <row r="2" spans="1:5" ht="15.75">
      <c r="A2" s="4"/>
      <c r="B2" s="4"/>
      <c r="C2" s="4"/>
      <c r="D2" s="4" t="s">
        <v>39</v>
      </c>
      <c r="E2" s="5">
        <f>'аналіз фінансування'!D136</f>
        <v>416025.4100000001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фінансування'!C136</f>
        <v>624229.8</v>
      </c>
    </row>
    <row r="2" spans="1:5" ht="15.75">
      <c r="A2" s="4"/>
      <c r="B2" s="4"/>
      <c r="C2" s="4"/>
      <c r="D2" s="4" t="s">
        <v>39</v>
      </c>
      <c r="E2" s="5">
        <f>'аналіз фінансування'!D136</f>
        <v>416025.4100000001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2014-08-28T09:56:41Z</cp:lastPrinted>
  <dcterms:created xsi:type="dcterms:W3CDTF">2000-06-20T04:48:00Z</dcterms:created>
  <dcterms:modified xsi:type="dcterms:W3CDTF">2014-08-29T05:04:59Z</dcterms:modified>
  <cp:category/>
  <cp:version/>
  <cp:contentType/>
  <cp:contentStatus/>
</cp:coreProperties>
</file>